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wnloads\"/>
    </mc:Choice>
  </mc:AlternateContent>
  <xr:revisionPtr revIDLastSave="0" documentId="13_ncr:1_{4BE0B461-0C9F-4A3E-AD17-3BD3ACBA056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euil1" sheetId="1" r:id="rId1"/>
  </sheets>
  <definedNames>
    <definedName name="_xlnm.Print_Area" localSheetId="0">Feuil1!$B$1:$N$59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L57" i="1" s="1"/>
  <c r="M57" i="1" s="1"/>
  <c r="T21" i="1" l="1"/>
  <c r="V21" i="1" s="1"/>
  <c r="U21" i="1"/>
  <c r="W21" i="1" s="1"/>
  <c r="V23" i="1"/>
  <c r="W23" i="1" s="1"/>
  <c r="K46" i="1"/>
  <c r="I46" i="1"/>
  <c r="L46" i="1" s="1"/>
  <c r="M46" i="1" s="1"/>
  <c r="I45" i="1"/>
  <c r="T22" i="1" l="1"/>
  <c r="V22" i="1" s="1"/>
  <c r="U22" i="1"/>
  <c r="W22" i="1" s="1"/>
  <c r="F17" i="1" l="1"/>
  <c r="F15" i="1"/>
  <c r="K34" i="1" s="1"/>
  <c r="K30" i="1"/>
  <c r="K31" i="1"/>
  <c r="S31" i="1"/>
  <c r="K28" i="1" s="1"/>
  <c r="I31" i="1"/>
  <c r="I28" i="1"/>
  <c r="H49" i="1" l="1"/>
  <c r="M49" i="1" s="1"/>
  <c r="L28" i="1"/>
  <c r="M28" i="1" s="1"/>
  <c r="L31" i="1"/>
  <c r="M31" i="1" s="1"/>
  <c r="S29" i="1"/>
  <c r="S30" i="1" l="1"/>
  <c r="K33" i="1" s="1"/>
  <c r="S28" i="1"/>
  <c r="I56" i="1"/>
  <c r="L56" i="1" s="1"/>
  <c r="M56" i="1" s="1"/>
  <c r="K45" i="1"/>
  <c r="K38" i="1"/>
  <c r="I38" i="1"/>
  <c r="I37" i="1"/>
  <c r="I39" i="1"/>
  <c r="L38" i="1" l="1"/>
  <c r="M38" i="1" s="1"/>
  <c r="L45" i="1"/>
  <c r="M45" i="1" s="1"/>
  <c r="K32" i="1"/>
  <c r="I32" i="1"/>
  <c r="K29" i="1"/>
  <c r="I29" i="1"/>
  <c r="I34" i="1"/>
  <c r="I33" i="1"/>
  <c r="L58" i="1"/>
  <c r="M58" i="1" s="1"/>
  <c r="I55" i="1"/>
  <c r="L55" i="1" s="1"/>
  <c r="M55" i="1" s="1"/>
  <c r="K44" i="1"/>
  <c r="I44" i="1"/>
  <c r="I43" i="1"/>
  <c r="H35" i="1"/>
  <c r="I35" i="1" s="1"/>
  <c r="K41" i="1"/>
  <c r="I41" i="1"/>
  <c r="I42" i="1"/>
  <c r="I30" i="1"/>
  <c r="I40" i="1"/>
  <c r="I36" i="1"/>
  <c r="M59" i="1" l="1"/>
  <c r="L30" i="1"/>
  <c r="M30" i="1" s="1"/>
  <c r="L32" i="1"/>
  <c r="M32" i="1" s="1"/>
  <c r="L44" i="1"/>
  <c r="M44" i="1" s="1"/>
  <c r="L41" i="1"/>
  <c r="M41" i="1" s="1"/>
  <c r="L29" i="1"/>
  <c r="M29" i="1" s="1"/>
  <c r="L33" i="1" l="1"/>
  <c r="M33" i="1" s="1"/>
  <c r="K37" i="1"/>
  <c r="L37" i="1" s="1"/>
  <c r="M37" i="1" s="1"/>
  <c r="K39" i="1"/>
  <c r="L39" i="1" s="1"/>
  <c r="M39" i="1" s="1"/>
  <c r="L34" i="1"/>
  <c r="M34" i="1" s="1"/>
  <c r="K40" i="1"/>
  <c r="L40" i="1" s="1"/>
  <c r="M40" i="1" s="1"/>
  <c r="K36" i="1"/>
  <c r="L36" i="1" s="1"/>
  <c r="M36" i="1" s="1"/>
  <c r="K42" i="1"/>
  <c r="L42" i="1" s="1"/>
  <c r="M42" i="1" s="1"/>
  <c r="K35" i="1"/>
  <c r="L35" i="1" s="1"/>
  <c r="M35" i="1" s="1"/>
  <c r="K43" i="1"/>
  <c r="L43" i="1" s="1"/>
  <c r="M43" i="1" s="1"/>
  <c r="M47" i="1" l="1"/>
  <c r="M52" i="1" s="1"/>
</calcChain>
</file>

<file path=xl/sharedStrings.xml><?xml version="1.0" encoding="utf-8"?>
<sst xmlns="http://schemas.openxmlformats.org/spreadsheetml/2006/main" count="76" uniqueCount="67">
  <si>
    <t>Nombre d'heures travaillés par semaine au cabinet</t>
  </si>
  <si>
    <t>soit</t>
  </si>
  <si>
    <t>patients soignés au cabinet</t>
  </si>
  <si>
    <t>patients soignés aux domiciles</t>
  </si>
  <si>
    <t>Coût du matériel nécessaire à la prise en charge</t>
  </si>
  <si>
    <t>(les mesures sont plus exigeantes)</t>
  </si>
  <si>
    <t>FFP2</t>
  </si>
  <si>
    <t>Chir</t>
  </si>
  <si>
    <t xml:space="preserve">       Type de masques disponibles                </t>
  </si>
  <si>
    <t>changement de masque toutes les</t>
  </si>
  <si>
    <t>Nombre de séances HEBDO de patients atteint du COVID</t>
  </si>
  <si>
    <t>Prix total</t>
  </si>
  <si>
    <t>Prix par semaine</t>
  </si>
  <si>
    <t>Prix
unitaire</t>
  </si>
  <si>
    <t>Quantité
(L)</t>
  </si>
  <si>
    <t>Coûts fixes</t>
  </si>
  <si>
    <t>Coût "patient Covid"</t>
  </si>
  <si>
    <t>Coût standart hebdomadaire</t>
  </si>
  <si>
    <t>Coût</t>
  </si>
  <si>
    <t xml:space="preserve">   Poubelle</t>
  </si>
  <si>
    <t xml:space="preserve">   Lunettes / Visière</t>
  </si>
  <si>
    <t xml:space="preserve">   Surblouses</t>
  </si>
  <si>
    <t xml:space="preserve">   Gants</t>
  </si>
  <si>
    <t xml:space="preserve">   Charlottes</t>
  </si>
  <si>
    <t xml:space="preserve">   Masques patient</t>
  </si>
  <si>
    <t xml:space="preserve">   Draps d'examens</t>
  </si>
  <si>
    <t xml:space="preserve">   Savon</t>
  </si>
  <si>
    <t xml:space="preserve">   Essuie Main</t>
  </si>
  <si>
    <t xml:space="preserve">   Housse plastique voiture jetable</t>
  </si>
  <si>
    <t xml:space="preserve">   Mouchoirs</t>
  </si>
  <si>
    <t xml:space="preserve">   SHA</t>
  </si>
  <si>
    <t xml:space="preserve">   Nettoyant sol</t>
  </si>
  <si>
    <t xml:space="preserve">   Spray surface</t>
  </si>
  <si>
    <t xml:space="preserve">   Lingettes désinfectantes</t>
  </si>
  <si>
    <t xml:space="preserve">   Sac poubelle spécifiques</t>
  </si>
  <si>
    <t xml:space="preserve">   Film alimentaire (pour clavier)</t>
  </si>
  <si>
    <t>Patients COVID</t>
  </si>
  <si>
    <t>Patients non COVID</t>
  </si>
  <si>
    <t>CHIR/jours</t>
  </si>
  <si>
    <t>FFP2/jours</t>
  </si>
  <si>
    <t>Si uniquement chir</t>
  </si>
  <si>
    <t>Si uniquement FFP2</t>
  </si>
  <si>
    <t>Chir Si les 2</t>
  </si>
  <si>
    <t>Nombre d'heures</t>
  </si>
  <si>
    <t>CHIR/sem</t>
  </si>
  <si>
    <t>FFP2/sem</t>
  </si>
  <si>
    <t>FFP2 si les 2</t>
  </si>
  <si>
    <t xml:space="preserve">   Surchaussures (non obligatoire mais conseillé)</t>
  </si>
  <si>
    <t xml:space="preserve">   Masques FFP2 </t>
  </si>
  <si>
    <t xml:space="preserve">   Masques (changement à chaque patient Covid)</t>
  </si>
  <si>
    <t xml:space="preserve">   Déchets d’activité de soins à risques (Abonnement ou  cout unitaire)</t>
  </si>
  <si>
    <t>Total HEBDOMADAIRE Matériel</t>
  </si>
  <si>
    <t>Perte de chiffre d'affaire liée à la prise en charge</t>
  </si>
  <si>
    <t>Nombre de séances HEBDO HABITUELLES</t>
  </si>
  <si>
    <t>TOTAL SURCOUT HEBDOMADAIRE LIE AUX MESURES BARRIERES COVID-19</t>
  </si>
  <si>
    <t>Nombre d'heures travaillés par semaine aux domiciles</t>
  </si>
  <si>
    <t>Nombre de jours travaillés dans la semaine</t>
  </si>
  <si>
    <t>Montant total</t>
  </si>
  <si>
    <t>(tarif moyen : 17,20 €)</t>
  </si>
  <si>
    <t>Total COÛTS FIXES</t>
  </si>
  <si>
    <r>
      <rPr>
        <b/>
        <u/>
        <sz val="16"/>
        <color theme="0"/>
        <rFont val="Calibri"/>
        <family val="2"/>
        <scheme val="minor"/>
      </rPr>
      <t>Préconisations</t>
    </r>
    <r>
      <rPr>
        <b/>
        <sz val="16"/>
        <color theme="0"/>
        <rFont val="Calibri"/>
        <family val="2"/>
        <scheme val="minor"/>
      </rPr>
      <t xml:space="preserve"> :</t>
    </r>
  </si>
  <si>
    <r>
      <t xml:space="preserve">Surblouses et/ou tabliers : suffisants dans nombre de cas et plus faciles d'utilisation
Surchaussures pas indispensables mais recommandées
SHA : prévoir flacons à dispo patients, salle d’attente et dans chaque pièce (y compris plateau technique en fonction du nombre d’appareils)
Essuie mains papier si savon utilisé
Une poubelle par pièce 
DARSI : pas indispensable
Double sac recommandé
Filmage à prévoir, en particulier pour téléphone et façade de certains appareils  
Prévoir kit pour voiture (visite à domicile et EHPAD)
</t>
    </r>
    <r>
      <rPr>
        <b/>
        <sz val="10"/>
        <color theme="0"/>
        <rFont val="Calibri"/>
        <family val="2"/>
        <scheme val="minor"/>
      </rPr>
      <t>N'oubliez pas le lavage quotidien des changes en arrivant à son domicile (pour protéger votre famille)</t>
    </r>
  </si>
  <si>
    <t xml:space="preserve">   Kit signalétique Cabinet</t>
  </si>
  <si>
    <t xml:space="preserve">   Blouses (à changer toutes les 1/2 journées). Lavage tous les 2 jours</t>
  </si>
  <si>
    <t>Votre activité habituelle pré-épidémique</t>
  </si>
  <si>
    <t>Votre projection d'activité à la reprise</t>
  </si>
  <si>
    <t xml:space="preserve">                   Tableau du surcoût ESTIMATIF HEBDOMADAIRE lié aux mesures barrières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</si>
</sst>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__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7203"/>
        <bgColor indexed="64"/>
      </patternFill>
    </fill>
  </fills>
  <borders count="49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medium">
        <color rgb="FF7030A0"/>
      </right>
      <top/>
      <bottom/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5" borderId="0" xfId="0" applyFont="1" applyFill="1" applyBorder="1" applyAlignment="1" applyProtection="1">
      <alignment vertical="center"/>
      <protection locked="0"/>
    </xf>
    <xf numFmtId="0" fontId="8" fillId="5" borderId="16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right" vertical="center" indent="1"/>
      <protection locked="0"/>
    </xf>
    <xf numFmtId="44" fontId="0" fillId="3" borderId="1" xfId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1" xfId="2" applyFont="1" applyFill="1" applyBorder="1" applyAlignment="1">
      <alignment vertical="center"/>
    </xf>
    <xf numFmtId="0" fontId="0" fillId="0" borderId="22" xfId="0" applyFill="1" applyBorder="1" applyAlignment="1" applyProtection="1">
      <alignment horizontal="right" vertical="center" indent="1"/>
      <protection locked="0"/>
    </xf>
    <xf numFmtId="44" fontId="0" fillId="3" borderId="27" xfId="1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64" fontId="0" fillId="3" borderId="27" xfId="2" applyFont="1" applyFill="1" applyBorder="1" applyAlignment="1">
      <alignment vertical="center"/>
    </xf>
    <xf numFmtId="0" fontId="0" fillId="0" borderId="24" xfId="0" applyFill="1" applyBorder="1" applyAlignment="1" applyProtection="1">
      <alignment horizontal="right" vertical="center" indent="1"/>
      <protection locked="0"/>
    </xf>
    <xf numFmtId="44" fontId="0" fillId="3" borderId="2" xfId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2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3" fillId="6" borderId="18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0" fontId="3" fillId="6" borderId="3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20" xfId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44" fontId="0" fillId="0" borderId="22" xfId="1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4" fontId="0" fillId="0" borderId="24" xfId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44" fontId="0" fillId="0" borderId="29" xfId="1" applyFont="1" applyFill="1" applyBorder="1" applyAlignment="1" applyProtection="1">
      <alignment vertical="center"/>
      <protection locked="0"/>
    </xf>
    <xf numFmtId="0" fontId="3" fillId="6" borderId="40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6" fillId="6" borderId="41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6" fillId="6" borderId="43" xfId="0" applyFont="1" applyFill="1" applyBorder="1" applyAlignment="1">
      <alignment vertical="center"/>
    </xf>
    <xf numFmtId="0" fontId="6" fillId="6" borderId="44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46" xfId="0" applyFont="1" applyFill="1" applyBorder="1" applyAlignment="1">
      <alignment vertical="center"/>
    </xf>
    <xf numFmtId="0" fontId="9" fillId="7" borderId="47" xfId="0" applyFont="1" applyFill="1" applyBorder="1" applyAlignment="1">
      <alignment vertical="center"/>
    </xf>
    <xf numFmtId="44" fontId="9" fillId="7" borderId="47" xfId="0" applyNumberFormat="1" applyFont="1" applyFill="1" applyBorder="1" applyAlignment="1">
      <alignment horizontal="center" vertical="center"/>
    </xf>
    <xf numFmtId="44" fontId="9" fillId="7" borderId="4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65" fontId="2" fillId="0" borderId="27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32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4" fontId="6" fillId="6" borderId="44" xfId="0" applyNumberFormat="1" applyFont="1" applyFill="1" applyBorder="1" applyAlignment="1">
      <alignment horizontal="right" vertical="center"/>
    </xf>
    <xf numFmtId="44" fontId="6" fillId="6" borderId="45" xfId="0" applyNumberFormat="1" applyFont="1" applyFill="1" applyBorder="1" applyAlignment="1">
      <alignment horizontal="right" vertical="center"/>
    </xf>
    <xf numFmtId="44" fontId="3" fillId="6" borderId="34" xfId="1" applyFont="1" applyFill="1" applyBorder="1" applyAlignment="1">
      <alignment horizontal="center" vertical="center"/>
    </xf>
    <xf numFmtId="44" fontId="3" fillId="6" borderId="29" xfId="1" applyFont="1" applyFill="1" applyBorder="1" applyAlignment="1">
      <alignment horizontal="center" vertical="center"/>
    </xf>
    <xf numFmtId="1" fontId="3" fillId="6" borderId="34" xfId="0" applyNumberFormat="1" applyFont="1" applyFill="1" applyBorder="1" applyAlignment="1">
      <alignment horizontal="right" vertical="center" indent="1"/>
    </xf>
    <xf numFmtId="1" fontId="3" fillId="6" borderId="29" xfId="0" applyNumberFormat="1" applyFont="1" applyFill="1" applyBorder="1" applyAlignment="1">
      <alignment horizontal="right" vertical="center" indent="1"/>
    </xf>
    <xf numFmtId="44" fontId="6" fillId="6" borderId="35" xfId="0" applyNumberFormat="1" applyFont="1" applyFill="1" applyBorder="1" applyAlignment="1">
      <alignment horizontal="center" vertical="center"/>
    </xf>
    <xf numFmtId="44" fontId="6" fillId="6" borderId="36" xfId="0" applyNumberFormat="1" applyFont="1" applyFill="1" applyBorder="1" applyAlignment="1">
      <alignment horizontal="center" vertical="center"/>
    </xf>
    <xf numFmtId="44" fontId="6" fillId="6" borderId="30" xfId="0" applyNumberFormat="1" applyFont="1" applyFill="1" applyBorder="1" applyAlignment="1">
      <alignment horizontal="center" vertical="center"/>
    </xf>
    <xf numFmtId="44" fontId="6" fillId="6" borderId="3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/>
    </xf>
    <xf numFmtId="0" fontId="9" fillId="7" borderId="5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/>
    </xf>
  </cellXfs>
  <cellStyles count="4">
    <cellStyle name="Milliers" xfId="2" builtinId="3"/>
    <cellStyle name="Monétaire" xfId="1" builtinId="4"/>
    <cellStyle name="Monétaire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EE7203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R$9" lockText="1"/>
</file>

<file path=xl/ctrlProps/ctrlProp2.xml><?xml version="1.0" encoding="utf-8"?>
<formControlPr xmlns="http://schemas.microsoft.com/office/spreadsheetml/2009/9/main" objectType="CheckBox" checked="Checked" fmlaLink="$R$1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2790825</xdr:colOff>
          <xdr:row>20</xdr:row>
          <xdr:rowOff>38100</xdr:rowOff>
        </xdr:from>
        <xdr:to>
          <xdr:col>3</xdr:col>
          <xdr:colOff>9525</xdr:colOff>
          <xdr:row>21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Chirurgicaux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2790825</xdr:colOff>
          <xdr:row>20</xdr:row>
          <xdr:rowOff>219075</xdr:rowOff>
        </xdr:from>
        <xdr:to>
          <xdr:col>3</xdr:col>
          <xdr:colOff>9525</xdr:colOff>
          <xdr:row>21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FFP2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</xdr:colOff>
      <xdr:row>0</xdr:row>
      <xdr:rowOff>19053</xdr:rowOff>
    </xdr:from>
    <xdr:to>
      <xdr:col>2</xdr:col>
      <xdr:colOff>568725</xdr:colOff>
      <xdr:row>0</xdr:row>
      <xdr:rowOff>662899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3"/>
          <a:ext cx="864000" cy="64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9"/>
  <sheetViews>
    <sheetView tabSelected="1" zoomScale="70" zoomScaleNormal="70" workbookViewId="0">
      <selection activeCell="D9" sqref="D9"/>
    </sheetView>
  </sheetViews>
  <sheetFormatPr baseColWidth="10" defaultColWidth="11.3984375" defaultRowHeight="14.25" x14ac:dyDescent="0.45"/>
  <cols>
    <col min="1" max="1" width="11.3984375" style="3"/>
    <col min="2" max="2" width="4.73046875" style="3" customWidth="1"/>
    <col min="3" max="3" width="60.73046875" style="3" customWidth="1"/>
    <col min="4" max="5" width="6.73046875" style="3" customWidth="1"/>
    <col min="6" max="6" width="4" style="3" customWidth="1"/>
    <col min="7" max="7" width="11" style="3" bestFit="1" customWidth="1"/>
    <col min="8" max="8" width="9" style="3" customWidth="1"/>
    <col min="9" max="9" width="11.73046875" style="3" hidden="1" customWidth="1"/>
    <col min="10" max="10" width="11.1328125" style="3" hidden="1" customWidth="1"/>
    <col min="11" max="12" width="11.73046875" style="3" hidden="1" customWidth="1"/>
    <col min="13" max="13" width="12.86328125" style="3" bestFit="1" customWidth="1"/>
    <col min="14" max="14" width="4.73046875" style="3" customWidth="1"/>
    <col min="15" max="15" width="11.3984375" style="3" customWidth="1"/>
    <col min="16" max="24" width="11.3984375" style="3" hidden="1" customWidth="1"/>
    <col min="25" max="27" width="0" style="3" hidden="1" customWidth="1"/>
    <col min="28" max="16384" width="11.3984375" style="3"/>
  </cols>
  <sheetData>
    <row r="1" spans="2:20" ht="54" customHeight="1" x14ac:dyDescent="0.45">
      <c r="B1" s="113" t="s">
        <v>66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2"/>
    </row>
    <row r="2" spans="2:20" ht="9.9499999999999993" customHeight="1" thickBot="1" x14ac:dyDescent="0.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1"/>
      <c r="N2" s="51"/>
      <c r="O2" s="2"/>
    </row>
    <row r="3" spans="2:20" ht="27" customHeight="1" x14ac:dyDescent="0.45">
      <c r="B3" s="118" t="s">
        <v>60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2"/>
    </row>
    <row r="4" spans="2:20" ht="135" customHeight="1" x14ac:dyDescent="0.45">
      <c r="B4" s="116" t="s">
        <v>61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2"/>
    </row>
    <row r="5" spans="2:20" ht="9.9499999999999993" customHeight="1" thickBot="1" x14ac:dyDescent="0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1"/>
      <c r="N5" s="51"/>
      <c r="O5" s="2"/>
      <c r="S5" s="3" t="s">
        <v>43</v>
      </c>
    </row>
    <row r="6" spans="2:20" ht="8.1" customHeight="1" x14ac:dyDescent="0.45"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28"/>
      <c r="N6" s="29"/>
      <c r="O6" s="2"/>
      <c r="S6" s="3" t="s">
        <v>43</v>
      </c>
    </row>
    <row r="7" spans="2:20" x14ac:dyDescent="0.45">
      <c r="B7" s="27"/>
      <c r="C7" s="24" t="s">
        <v>64</v>
      </c>
      <c r="D7" s="26"/>
      <c r="E7" s="26"/>
      <c r="F7" s="9"/>
      <c r="G7" s="9"/>
      <c r="H7" s="9"/>
      <c r="I7" s="9"/>
      <c r="J7" s="9"/>
      <c r="K7" s="9"/>
      <c r="L7" s="9"/>
      <c r="M7" s="63"/>
      <c r="N7" s="30"/>
      <c r="O7" s="2"/>
    </row>
    <row r="8" spans="2:20" ht="6" customHeight="1" x14ac:dyDescent="0.45">
      <c r="B8" s="27"/>
      <c r="C8" s="13"/>
      <c r="D8" s="16"/>
      <c r="E8" s="16"/>
      <c r="F8" s="14"/>
      <c r="G8" s="10"/>
      <c r="H8" s="10"/>
      <c r="I8" s="10"/>
      <c r="J8" s="10"/>
      <c r="K8" s="10"/>
      <c r="L8" s="10"/>
      <c r="M8" s="15"/>
      <c r="N8" s="30"/>
      <c r="Q8" s="4"/>
      <c r="R8" s="2"/>
    </row>
    <row r="9" spans="2:20" ht="18" x14ac:dyDescent="0.45">
      <c r="B9" s="27"/>
      <c r="C9" s="13" t="s">
        <v>56</v>
      </c>
      <c r="D9" s="22">
        <v>5</v>
      </c>
      <c r="E9" s="10"/>
      <c r="F9" s="10"/>
      <c r="G9" s="10"/>
      <c r="H9" s="10"/>
      <c r="I9" s="10"/>
      <c r="J9" s="10"/>
      <c r="K9" s="10"/>
      <c r="L9" s="10"/>
      <c r="M9" s="18"/>
      <c r="N9" s="30"/>
      <c r="Q9" s="2" t="s">
        <v>7</v>
      </c>
      <c r="R9" s="75" t="b">
        <v>1</v>
      </c>
      <c r="S9" s="3">
        <v>4</v>
      </c>
    </row>
    <row r="10" spans="2:20" ht="6" customHeight="1" x14ac:dyDescent="0.45">
      <c r="B10" s="27"/>
      <c r="C10" s="13"/>
      <c r="D10" s="14"/>
      <c r="E10" s="10"/>
      <c r="F10" s="16"/>
      <c r="G10" s="10"/>
      <c r="H10" s="10"/>
      <c r="I10" s="10"/>
      <c r="J10" s="10"/>
      <c r="K10" s="10"/>
      <c r="L10" s="25"/>
      <c r="M10" s="15"/>
      <c r="N10" s="30"/>
      <c r="Q10" s="4"/>
      <c r="R10" s="2"/>
    </row>
    <row r="11" spans="2:20" ht="18" x14ac:dyDescent="0.45">
      <c r="B11" s="27"/>
      <c r="C11" s="19" t="s">
        <v>53</v>
      </c>
      <c r="D11" s="23">
        <v>110</v>
      </c>
      <c r="E11" s="11"/>
      <c r="F11" s="11"/>
      <c r="G11" s="11"/>
      <c r="H11" s="11"/>
      <c r="I11" s="11"/>
      <c r="J11" s="11"/>
      <c r="K11" s="11"/>
      <c r="L11" s="11"/>
      <c r="M11" s="21"/>
      <c r="N11" s="30"/>
      <c r="Q11" s="4"/>
      <c r="R11" s="2"/>
    </row>
    <row r="12" spans="2:20" ht="6" customHeight="1" x14ac:dyDescent="0.45">
      <c r="B12" s="27"/>
      <c r="C12" s="16"/>
      <c r="D12" s="16"/>
      <c r="F12" s="14"/>
      <c r="G12" s="10"/>
      <c r="H12" s="10"/>
      <c r="I12" s="10"/>
      <c r="J12" s="10"/>
      <c r="K12" s="10"/>
      <c r="L12" s="10"/>
      <c r="M12" s="10"/>
      <c r="N12" s="30"/>
      <c r="Q12" s="4"/>
      <c r="R12" s="2"/>
    </row>
    <row r="13" spans="2:20" ht="15" customHeight="1" x14ac:dyDescent="0.45">
      <c r="B13" s="27"/>
      <c r="C13" s="24" t="s">
        <v>65</v>
      </c>
      <c r="D13" s="26"/>
      <c r="E13" s="26"/>
      <c r="F13" s="26"/>
      <c r="G13" s="9"/>
      <c r="H13" s="9"/>
      <c r="I13" s="9"/>
      <c r="J13" s="9"/>
      <c r="K13" s="9"/>
      <c r="L13" s="9"/>
      <c r="M13" s="12"/>
      <c r="N13" s="30"/>
      <c r="Q13" s="2" t="s">
        <v>6</v>
      </c>
      <c r="R13" s="75" t="b">
        <v>1</v>
      </c>
      <c r="S13" s="3">
        <v>8</v>
      </c>
    </row>
    <row r="14" spans="2:20" ht="6" customHeight="1" x14ac:dyDescent="0.45">
      <c r="B14" s="27"/>
      <c r="C14" s="13"/>
      <c r="D14" s="16"/>
      <c r="F14" s="14"/>
      <c r="G14" s="10"/>
      <c r="H14" s="10"/>
      <c r="I14" s="10"/>
      <c r="J14" s="10"/>
      <c r="K14" s="10"/>
      <c r="L14" s="10"/>
      <c r="M14" s="15"/>
      <c r="N14" s="30"/>
      <c r="Q14" s="4"/>
      <c r="R14" s="2"/>
    </row>
    <row r="15" spans="2:20" ht="18" x14ac:dyDescent="0.45">
      <c r="B15" s="27"/>
      <c r="C15" s="13" t="s">
        <v>0</v>
      </c>
      <c r="D15" s="22">
        <v>29</v>
      </c>
      <c r="E15" s="16" t="s">
        <v>1</v>
      </c>
      <c r="F15" s="35">
        <f>ROUNDUP(D15/0.75,0)</f>
        <v>39</v>
      </c>
      <c r="G15" s="10" t="s">
        <v>2</v>
      </c>
      <c r="H15" s="17"/>
      <c r="I15" s="10"/>
      <c r="J15" s="10"/>
      <c r="K15" s="10"/>
      <c r="L15" s="28"/>
      <c r="M15" s="15"/>
      <c r="N15" s="30"/>
      <c r="Q15" s="94" t="s">
        <v>9</v>
      </c>
      <c r="R15" s="94"/>
      <c r="S15" s="94"/>
      <c r="T15" s="5">
        <v>4</v>
      </c>
    </row>
    <row r="16" spans="2:20" ht="6" customHeight="1" x14ac:dyDescent="0.45">
      <c r="B16" s="27"/>
      <c r="C16" s="13"/>
      <c r="D16" s="14"/>
      <c r="E16" s="10"/>
      <c r="F16" s="16"/>
      <c r="G16" s="10"/>
      <c r="H16" s="10"/>
      <c r="I16" s="10"/>
      <c r="J16" s="10"/>
      <c r="K16" s="10"/>
      <c r="L16" s="25"/>
      <c r="M16" s="15"/>
      <c r="N16" s="30"/>
      <c r="Q16" s="4"/>
      <c r="R16" s="2"/>
    </row>
    <row r="17" spans="2:23" ht="18" x14ac:dyDescent="0.45">
      <c r="B17" s="27"/>
      <c r="C17" s="13" t="s">
        <v>55</v>
      </c>
      <c r="D17" s="22">
        <v>26</v>
      </c>
      <c r="E17" s="16" t="s">
        <v>1</v>
      </c>
      <c r="F17" s="35">
        <f>ROUNDUP(D17/0.75,0)</f>
        <v>35</v>
      </c>
      <c r="G17" s="10" t="s">
        <v>3</v>
      </c>
      <c r="H17" s="17"/>
      <c r="I17" s="10"/>
      <c r="J17" s="10"/>
      <c r="K17" s="10"/>
      <c r="L17" s="10"/>
      <c r="M17" s="15"/>
      <c r="N17" s="30"/>
    </row>
    <row r="18" spans="2:23" ht="6" customHeight="1" x14ac:dyDescent="0.45">
      <c r="B18" s="27"/>
      <c r="C18" s="13"/>
      <c r="D18" s="14"/>
      <c r="F18" s="10"/>
      <c r="G18" s="10"/>
      <c r="H18" s="10"/>
      <c r="I18" s="10"/>
      <c r="J18" s="10"/>
      <c r="K18" s="10"/>
      <c r="L18" s="10"/>
      <c r="M18" s="15"/>
      <c r="N18" s="30"/>
      <c r="Q18" s="4"/>
      <c r="R18" s="2"/>
    </row>
    <row r="19" spans="2:23" ht="18" x14ac:dyDescent="0.45">
      <c r="B19" s="27"/>
      <c r="C19" s="19" t="s">
        <v>10</v>
      </c>
      <c r="D19" s="23">
        <v>9</v>
      </c>
      <c r="E19" s="20" t="s">
        <v>5</v>
      </c>
      <c r="F19" s="11"/>
      <c r="G19" s="11"/>
      <c r="H19" s="11"/>
      <c r="I19" s="11"/>
      <c r="J19" s="11"/>
      <c r="K19" s="11"/>
      <c r="L19" s="11"/>
      <c r="M19" s="36"/>
      <c r="N19" s="30"/>
      <c r="T19" s="3" t="s">
        <v>38</v>
      </c>
      <c r="U19" s="3" t="s">
        <v>39</v>
      </c>
      <c r="V19" s="3" t="s">
        <v>44</v>
      </c>
      <c r="W19" s="3" t="s">
        <v>45</v>
      </c>
    </row>
    <row r="20" spans="2:23" ht="9.9499999999999993" customHeight="1" x14ac:dyDescent="0.45">
      <c r="B20" s="27"/>
      <c r="C20" s="16"/>
      <c r="D20" s="53"/>
      <c r="E20" s="52"/>
      <c r="F20" s="10"/>
      <c r="G20" s="10"/>
      <c r="H20" s="10"/>
      <c r="I20" s="10"/>
      <c r="J20" s="10"/>
      <c r="K20" s="10"/>
      <c r="L20" s="10"/>
      <c r="M20" s="25"/>
      <c r="N20" s="30"/>
    </row>
    <row r="21" spans="2:23" ht="18" x14ac:dyDescent="0.45">
      <c r="B21" s="27"/>
      <c r="C21" s="86" t="s">
        <v>8</v>
      </c>
      <c r="D21" s="53"/>
      <c r="E21" s="52"/>
      <c r="F21" s="10"/>
      <c r="G21" s="10"/>
      <c r="H21" s="10"/>
      <c r="I21" s="10"/>
      <c r="J21" s="10"/>
      <c r="K21" s="10"/>
      <c r="L21" s="10"/>
      <c r="M21" s="25"/>
      <c r="N21" s="30"/>
      <c r="Q21" s="3" t="s">
        <v>43</v>
      </c>
      <c r="S21" s="8"/>
      <c r="T21" s="3">
        <f>ROUNDUP((D15+D17)/D9/S9,0)</f>
        <v>3</v>
      </c>
      <c r="U21" s="3">
        <f>ROUNDUP((D15+D17)/D9/S13,0)</f>
        <v>2</v>
      </c>
      <c r="V21" s="3">
        <f>T21*D9</f>
        <v>15</v>
      </c>
      <c r="W21" s="3">
        <f>U21*D9</f>
        <v>10</v>
      </c>
    </row>
    <row r="22" spans="2:23" ht="18" x14ac:dyDescent="0.45">
      <c r="B22" s="27"/>
      <c r="C22" s="87"/>
      <c r="D22" s="53"/>
      <c r="E22" s="52"/>
      <c r="F22" s="10"/>
      <c r="G22" s="10"/>
      <c r="H22" s="10"/>
      <c r="I22" s="10"/>
      <c r="J22" s="10"/>
      <c r="K22" s="10"/>
      <c r="L22" s="10"/>
      <c r="M22" s="25"/>
      <c r="N22" s="30"/>
      <c r="Q22" s="3" t="s">
        <v>37</v>
      </c>
      <c r="S22" s="8"/>
      <c r="T22" s="3">
        <f>T21</f>
        <v>3</v>
      </c>
      <c r="U22" s="3">
        <f>U21</f>
        <v>2</v>
      </c>
      <c r="V22" s="3">
        <f>T22*D9</f>
        <v>15</v>
      </c>
      <c r="W22" s="3">
        <f>U22*D9</f>
        <v>10</v>
      </c>
    </row>
    <row r="23" spans="2:23" ht="8.1" customHeight="1" thickBot="1" x14ac:dyDescent="0.5">
      <c r="B23" s="31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34"/>
      <c r="Q23" s="3" t="s">
        <v>36</v>
      </c>
      <c r="V23" s="3">
        <f>D19</f>
        <v>9</v>
      </c>
      <c r="W23" s="3">
        <f>V23</f>
        <v>9</v>
      </c>
    </row>
    <row r="24" spans="2:23" ht="9.9499999999999993" customHeight="1" thickBot="1" x14ac:dyDescent="0.5"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</row>
    <row r="25" spans="2:23" ht="21.4" thickBot="1" x14ac:dyDescent="0.5">
      <c r="B25" s="32" t="s">
        <v>4</v>
      </c>
      <c r="C25" s="10"/>
      <c r="D25" s="10"/>
      <c r="E25" s="33"/>
      <c r="F25" s="10"/>
      <c r="G25" s="10"/>
      <c r="H25" s="10"/>
      <c r="I25" s="10"/>
      <c r="J25" s="10"/>
      <c r="K25" s="10"/>
      <c r="L25" s="10"/>
      <c r="M25" s="10"/>
      <c r="N25" s="30"/>
    </row>
    <row r="26" spans="2:23" ht="5.0999999999999996" customHeight="1" thickBot="1" x14ac:dyDescent="0.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23" ht="28.5" x14ac:dyDescent="0.45">
      <c r="B27" s="99" t="s">
        <v>18</v>
      </c>
      <c r="C27" s="100"/>
      <c r="D27" s="1"/>
      <c r="E27" s="1"/>
      <c r="F27" s="64"/>
      <c r="G27" s="37" t="s">
        <v>11</v>
      </c>
      <c r="H27" s="37" t="s">
        <v>14</v>
      </c>
      <c r="I27" s="38" t="s">
        <v>13</v>
      </c>
      <c r="J27" s="38"/>
      <c r="K27" s="38"/>
      <c r="L27" s="38" t="s">
        <v>12</v>
      </c>
      <c r="M27" s="101" t="s">
        <v>57</v>
      </c>
      <c r="N27" s="102"/>
    </row>
    <row r="28" spans="2:23" x14ac:dyDescent="0.45">
      <c r="B28" s="95" t="s">
        <v>16</v>
      </c>
      <c r="C28" s="9" t="s">
        <v>48</v>
      </c>
      <c r="D28" s="9"/>
      <c r="E28" s="9"/>
      <c r="F28" s="65"/>
      <c r="G28" s="66">
        <v>100</v>
      </c>
      <c r="H28" s="39">
        <v>30</v>
      </c>
      <c r="I28" s="40">
        <f t="shared" ref="I28:I35" si="0">G28/H28</f>
        <v>3.3333333333333335</v>
      </c>
      <c r="J28" s="41"/>
      <c r="K28" s="42">
        <f>IF(R13=TRUE,IF(R9=TRUE,S31,W22+W23),0)</f>
        <v>9</v>
      </c>
      <c r="L28" s="40">
        <f>K28*I28</f>
        <v>30</v>
      </c>
      <c r="M28" s="92">
        <f t="shared" ref="M28:M46" si="1">L28</f>
        <v>30</v>
      </c>
      <c r="N28" s="93"/>
      <c r="Q28" s="3" t="s">
        <v>40</v>
      </c>
      <c r="S28" s="3">
        <f>V22+V23</f>
        <v>24</v>
      </c>
    </row>
    <row r="29" spans="2:23" x14ac:dyDescent="0.45">
      <c r="B29" s="96"/>
      <c r="C29" s="10" t="s">
        <v>21</v>
      </c>
      <c r="D29" s="10"/>
      <c r="E29" s="10"/>
      <c r="F29" s="67"/>
      <c r="G29" s="68">
        <v>36.9</v>
      </c>
      <c r="H29" s="43">
        <v>10</v>
      </c>
      <c r="I29" s="44">
        <f t="shared" si="0"/>
        <v>3.69</v>
      </c>
      <c r="J29" s="45"/>
      <c r="K29" s="46">
        <f>D19</f>
        <v>9</v>
      </c>
      <c r="L29" s="44">
        <f>K29*I29</f>
        <v>33.21</v>
      </c>
      <c r="M29" s="88">
        <f t="shared" si="1"/>
        <v>33.21</v>
      </c>
      <c r="N29" s="89"/>
      <c r="Q29" s="3" t="s">
        <v>41</v>
      </c>
      <c r="S29" s="3">
        <f>W22+W23</f>
        <v>19</v>
      </c>
    </row>
    <row r="30" spans="2:23" x14ac:dyDescent="0.45">
      <c r="B30" s="96"/>
      <c r="C30" s="10" t="s">
        <v>22</v>
      </c>
      <c r="D30" s="10"/>
      <c r="E30" s="10"/>
      <c r="F30" s="67"/>
      <c r="G30" s="68">
        <v>5.69</v>
      </c>
      <c r="H30" s="43">
        <v>100</v>
      </c>
      <c r="I30" s="44">
        <f t="shared" si="0"/>
        <v>5.6900000000000006E-2</v>
      </c>
      <c r="J30" s="45"/>
      <c r="K30" s="46">
        <f>D19*2</f>
        <v>18</v>
      </c>
      <c r="L30" s="44">
        <f>K30*I30</f>
        <v>1.0242</v>
      </c>
      <c r="M30" s="88">
        <f t="shared" si="1"/>
        <v>1.0242</v>
      </c>
      <c r="N30" s="89"/>
      <c r="Q30" s="3" t="s">
        <v>42</v>
      </c>
      <c r="S30" s="3">
        <f>V22</f>
        <v>15</v>
      </c>
    </row>
    <row r="31" spans="2:23" x14ac:dyDescent="0.45">
      <c r="B31" s="96"/>
      <c r="C31" s="10" t="s">
        <v>47</v>
      </c>
      <c r="D31" s="10"/>
      <c r="E31" s="10"/>
      <c r="F31" s="67"/>
      <c r="G31" s="68">
        <v>70</v>
      </c>
      <c r="H31" s="43">
        <v>200</v>
      </c>
      <c r="I31" s="44">
        <f t="shared" si="0"/>
        <v>0.35</v>
      </c>
      <c r="J31" s="45"/>
      <c r="K31" s="46">
        <f>D19</f>
        <v>9</v>
      </c>
      <c r="L31" s="44">
        <f>K31*I31</f>
        <v>3.15</v>
      </c>
      <c r="M31" s="88">
        <f t="shared" si="1"/>
        <v>3.15</v>
      </c>
      <c r="N31" s="89"/>
      <c r="Q31" s="3" t="s">
        <v>46</v>
      </c>
      <c r="S31" s="3">
        <f>W23</f>
        <v>9</v>
      </c>
    </row>
    <row r="32" spans="2:23" x14ac:dyDescent="0.45">
      <c r="B32" s="97"/>
      <c r="C32" s="11" t="s">
        <v>23</v>
      </c>
      <c r="D32" s="11"/>
      <c r="E32" s="11"/>
      <c r="F32" s="69"/>
      <c r="G32" s="70">
        <v>5.64</v>
      </c>
      <c r="H32" s="47">
        <v>100</v>
      </c>
      <c r="I32" s="48">
        <f t="shared" si="0"/>
        <v>5.6399999999999999E-2</v>
      </c>
      <c r="J32" s="49"/>
      <c r="K32" s="50">
        <f>D19</f>
        <v>9</v>
      </c>
      <c r="L32" s="48">
        <f>K32*I32</f>
        <v>0.50759999999999994</v>
      </c>
      <c r="M32" s="90">
        <f t="shared" si="1"/>
        <v>0.50759999999999994</v>
      </c>
      <c r="N32" s="91"/>
    </row>
    <row r="33" spans="2:14" x14ac:dyDescent="0.45">
      <c r="B33" s="98" t="s">
        <v>17</v>
      </c>
      <c r="C33" s="10" t="s">
        <v>49</v>
      </c>
      <c r="D33" s="10"/>
      <c r="E33" s="10"/>
      <c r="F33" s="67"/>
      <c r="G33" s="68">
        <v>14.9</v>
      </c>
      <c r="H33" s="43">
        <v>50</v>
      </c>
      <c r="I33" s="44">
        <f t="shared" si="0"/>
        <v>0.29799999999999999</v>
      </c>
      <c r="J33" s="45"/>
      <c r="K33" s="46">
        <f>IF(R9=TRUE,IF(R13=TRUE,S30,S28),0)</f>
        <v>15</v>
      </c>
      <c r="L33" s="44">
        <f t="shared" ref="L33:L38" si="2">K33*I33</f>
        <v>4.47</v>
      </c>
      <c r="M33" s="92">
        <f t="shared" si="1"/>
        <v>4.47</v>
      </c>
      <c r="N33" s="93"/>
    </row>
    <row r="34" spans="2:14" x14ac:dyDescent="0.45">
      <c r="B34" s="98"/>
      <c r="C34" s="10" t="s">
        <v>24</v>
      </c>
      <c r="D34" s="10"/>
      <c r="E34" s="10"/>
      <c r="F34" s="67"/>
      <c r="G34" s="68">
        <v>14.9</v>
      </c>
      <c r="H34" s="43">
        <v>50</v>
      </c>
      <c r="I34" s="44">
        <f t="shared" si="0"/>
        <v>0.29799999999999999</v>
      </c>
      <c r="J34" s="45"/>
      <c r="K34" s="46">
        <f>IF(R9=TRUE,F15+F17,0)</f>
        <v>74</v>
      </c>
      <c r="L34" s="44">
        <f t="shared" si="2"/>
        <v>22.052</v>
      </c>
      <c r="M34" s="88">
        <f t="shared" si="1"/>
        <v>22.052</v>
      </c>
      <c r="N34" s="89"/>
    </row>
    <row r="35" spans="2:14" x14ac:dyDescent="0.45">
      <c r="B35" s="98"/>
      <c r="C35" s="10" t="s">
        <v>25</v>
      </c>
      <c r="D35" s="10"/>
      <c r="E35" s="10"/>
      <c r="F35" s="67"/>
      <c r="G35" s="68">
        <v>40.68</v>
      </c>
      <c r="H35" s="43">
        <f>12*30</f>
        <v>360</v>
      </c>
      <c r="I35" s="44">
        <f t="shared" si="0"/>
        <v>0.113</v>
      </c>
      <c r="J35" s="45"/>
      <c r="K35" s="46">
        <f>F15+F17</f>
        <v>74</v>
      </c>
      <c r="L35" s="44">
        <f t="shared" si="2"/>
        <v>8.3620000000000001</v>
      </c>
      <c r="M35" s="88">
        <f t="shared" si="1"/>
        <v>8.3620000000000001</v>
      </c>
      <c r="N35" s="89"/>
    </row>
    <row r="36" spans="2:14" x14ac:dyDescent="0.45">
      <c r="B36" s="98"/>
      <c r="C36" s="10" t="s">
        <v>26</v>
      </c>
      <c r="D36" s="10"/>
      <c r="E36" s="10"/>
      <c r="F36" s="67"/>
      <c r="G36" s="68">
        <v>29.99</v>
      </c>
      <c r="H36" s="43">
        <v>5</v>
      </c>
      <c r="I36" s="44">
        <f>G36/(H36/J36)</f>
        <v>5.9979999999999999E-2</v>
      </c>
      <c r="J36" s="45">
        <v>0.01</v>
      </c>
      <c r="K36" s="46">
        <f>(F15+F17)*2</f>
        <v>148</v>
      </c>
      <c r="L36" s="44">
        <f t="shared" si="2"/>
        <v>8.8770399999999992</v>
      </c>
      <c r="M36" s="88">
        <f t="shared" si="1"/>
        <v>8.8770399999999992</v>
      </c>
      <c r="N36" s="89"/>
    </row>
    <row r="37" spans="2:14" x14ac:dyDescent="0.45">
      <c r="B37" s="98"/>
      <c r="C37" s="10" t="s">
        <v>27</v>
      </c>
      <c r="D37" s="10"/>
      <c r="E37" s="10"/>
      <c r="F37" s="67"/>
      <c r="G37" s="68">
        <v>3.87</v>
      </c>
      <c r="H37" s="43">
        <v>500</v>
      </c>
      <c r="I37" s="44">
        <f>G37/(H37/J37)</f>
        <v>1.5480000000000001E-2</v>
      </c>
      <c r="J37" s="45">
        <v>2</v>
      </c>
      <c r="K37" s="46">
        <f>(F15+F17)*2</f>
        <v>148</v>
      </c>
      <c r="L37" s="44">
        <f t="shared" si="2"/>
        <v>2.2910400000000002</v>
      </c>
      <c r="M37" s="88">
        <f t="shared" si="1"/>
        <v>2.2910400000000002</v>
      </c>
      <c r="N37" s="89"/>
    </row>
    <row r="38" spans="2:14" x14ac:dyDescent="0.45">
      <c r="B38" s="98"/>
      <c r="C38" s="10" t="s">
        <v>28</v>
      </c>
      <c r="D38" s="10"/>
      <c r="E38" s="10"/>
      <c r="F38" s="67"/>
      <c r="G38" s="68">
        <v>24.59</v>
      </c>
      <c r="H38" s="43">
        <v>100</v>
      </c>
      <c r="I38" s="44">
        <f>G38/H38</f>
        <v>0.24590000000000001</v>
      </c>
      <c r="J38" s="45"/>
      <c r="K38" s="46">
        <f>D9</f>
        <v>5</v>
      </c>
      <c r="L38" s="44">
        <f t="shared" si="2"/>
        <v>1.2295</v>
      </c>
      <c r="M38" s="88">
        <f t="shared" si="1"/>
        <v>1.2295</v>
      </c>
      <c r="N38" s="89"/>
    </row>
    <row r="39" spans="2:14" x14ac:dyDescent="0.45">
      <c r="B39" s="98"/>
      <c r="C39" s="10" t="s">
        <v>29</v>
      </c>
      <c r="D39" s="10"/>
      <c r="E39" s="10"/>
      <c r="F39" s="67"/>
      <c r="G39" s="68">
        <v>0.92</v>
      </c>
      <c r="H39" s="43">
        <v>110</v>
      </c>
      <c r="I39" s="44">
        <f>G39/H39</f>
        <v>8.3636363636363648E-3</v>
      </c>
      <c r="J39" s="45"/>
      <c r="K39" s="46">
        <f>F15+F17</f>
        <v>74</v>
      </c>
      <c r="L39" s="44">
        <f t="shared" ref="L39:L45" si="3">K39*I39</f>
        <v>0.61890909090909096</v>
      </c>
      <c r="M39" s="88">
        <f t="shared" si="1"/>
        <v>0.61890909090909096</v>
      </c>
      <c r="N39" s="89"/>
    </row>
    <row r="40" spans="2:14" x14ac:dyDescent="0.45">
      <c r="B40" s="98"/>
      <c r="C40" s="10" t="s">
        <v>30</v>
      </c>
      <c r="D40" s="10"/>
      <c r="E40" s="10"/>
      <c r="F40" s="67"/>
      <c r="G40" s="68">
        <v>14.9</v>
      </c>
      <c r="H40" s="43">
        <v>1</v>
      </c>
      <c r="I40" s="44">
        <f>G40/(H40/J40)</f>
        <v>4.4700000000000004E-2</v>
      </c>
      <c r="J40" s="45">
        <v>3.0000000000000001E-3</v>
      </c>
      <c r="K40" s="46">
        <f>(F15+F17)*2</f>
        <v>148</v>
      </c>
      <c r="L40" s="44">
        <f t="shared" si="3"/>
        <v>6.6156000000000006</v>
      </c>
      <c r="M40" s="88">
        <f t="shared" si="1"/>
        <v>6.6156000000000006</v>
      </c>
      <c r="N40" s="89"/>
    </row>
    <row r="41" spans="2:14" x14ac:dyDescent="0.45">
      <c r="B41" s="98"/>
      <c r="C41" s="10" t="s">
        <v>31</v>
      </c>
      <c r="D41" s="10"/>
      <c r="E41" s="10"/>
      <c r="F41" s="67"/>
      <c r="G41" s="68">
        <v>29.99</v>
      </c>
      <c r="H41" s="43">
        <v>5</v>
      </c>
      <c r="I41" s="44">
        <f>G41/(H41/J41)</f>
        <v>0.11996</v>
      </c>
      <c r="J41" s="45">
        <v>0.02</v>
      </c>
      <c r="K41" s="46">
        <f>D9</f>
        <v>5</v>
      </c>
      <c r="L41" s="44">
        <f t="shared" si="3"/>
        <v>0.5998</v>
      </c>
      <c r="M41" s="88">
        <f t="shared" si="1"/>
        <v>0.5998</v>
      </c>
      <c r="N41" s="89"/>
    </row>
    <row r="42" spans="2:14" x14ac:dyDescent="0.45">
      <c r="B42" s="98"/>
      <c r="C42" s="10" t="s">
        <v>32</v>
      </c>
      <c r="D42" s="10"/>
      <c r="E42" s="10"/>
      <c r="F42" s="67"/>
      <c r="G42" s="68">
        <v>9.9</v>
      </c>
      <c r="H42" s="43">
        <v>0.75</v>
      </c>
      <c r="I42" s="44">
        <f>G42/(H42/J42)</f>
        <v>6.6000000000000003E-2</v>
      </c>
      <c r="J42" s="45">
        <v>5.0000000000000001E-3</v>
      </c>
      <c r="K42" s="46">
        <f>F15+F17</f>
        <v>74</v>
      </c>
      <c r="L42" s="44">
        <f t="shared" si="3"/>
        <v>4.8840000000000003</v>
      </c>
      <c r="M42" s="88">
        <f t="shared" si="1"/>
        <v>4.8840000000000003</v>
      </c>
      <c r="N42" s="89"/>
    </row>
    <row r="43" spans="2:14" x14ac:dyDescent="0.45">
      <c r="B43" s="98"/>
      <c r="C43" s="10" t="s">
        <v>33</v>
      </c>
      <c r="D43" s="10"/>
      <c r="E43" s="10"/>
      <c r="F43" s="67"/>
      <c r="G43" s="68">
        <v>7.99</v>
      </c>
      <c r="H43" s="43">
        <v>100</v>
      </c>
      <c r="I43" s="44">
        <f>G43/H43</f>
        <v>7.9899999999999999E-2</v>
      </c>
      <c r="J43" s="45"/>
      <c r="K43" s="46">
        <f>D9*(F15+F17)</f>
        <v>370</v>
      </c>
      <c r="L43" s="44">
        <f t="shared" si="3"/>
        <v>29.562999999999999</v>
      </c>
      <c r="M43" s="88">
        <f t="shared" si="1"/>
        <v>29.562999999999999</v>
      </c>
      <c r="N43" s="89"/>
    </row>
    <row r="44" spans="2:14" x14ac:dyDescent="0.45">
      <c r="B44" s="98"/>
      <c r="C44" s="10" t="s">
        <v>34</v>
      </c>
      <c r="D44" s="10"/>
      <c r="E44" s="10"/>
      <c r="F44" s="67"/>
      <c r="G44" s="68">
        <v>25.99</v>
      </c>
      <c r="H44" s="43">
        <v>200</v>
      </c>
      <c r="I44" s="44">
        <f>G44/H44</f>
        <v>0.12994999999999998</v>
      </c>
      <c r="J44" s="45"/>
      <c r="K44" s="46">
        <f>D9*2</f>
        <v>10</v>
      </c>
      <c r="L44" s="44">
        <f t="shared" si="3"/>
        <v>1.2994999999999999</v>
      </c>
      <c r="M44" s="88">
        <f t="shared" si="1"/>
        <v>1.2994999999999999</v>
      </c>
      <c r="N44" s="89"/>
    </row>
    <row r="45" spans="2:14" x14ac:dyDescent="0.45">
      <c r="B45" s="98"/>
      <c r="C45" s="10" t="s">
        <v>35</v>
      </c>
      <c r="D45" s="10"/>
      <c r="E45" s="10"/>
      <c r="F45" s="67"/>
      <c r="G45" s="68">
        <v>1.59</v>
      </c>
      <c r="H45" s="43">
        <v>2000</v>
      </c>
      <c r="I45" s="44">
        <f>G45/(H45/J45)</f>
        <v>3.1800000000000002E-2</v>
      </c>
      <c r="J45" s="45">
        <v>40</v>
      </c>
      <c r="K45" s="46">
        <f>D9</f>
        <v>5</v>
      </c>
      <c r="L45" s="44">
        <f t="shared" si="3"/>
        <v>0.159</v>
      </c>
      <c r="M45" s="88">
        <f t="shared" si="1"/>
        <v>0.159</v>
      </c>
      <c r="N45" s="89"/>
    </row>
    <row r="46" spans="2:14" x14ac:dyDescent="0.45">
      <c r="B46" s="98"/>
      <c r="C46" s="10" t="s">
        <v>50</v>
      </c>
      <c r="D46" s="10"/>
      <c r="E46" s="10"/>
      <c r="F46" s="67"/>
      <c r="G46" s="68">
        <v>150</v>
      </c>
      <c r="H46" s="43">
        <v>4</v>
      </c>
      <c r="I46" s="44">
        <f>G46/H46</f>
        <v>37.5</v>
      </c>
      <c r="J46" s="45"/>
      <c r="K46" s="46">
        <f>F13*2</f>
        <v>0</v>
      </c>
      <c r="L46" s="44">
        <f>I46</f>
        <v>37.5</v>
      </c>
      <c r="M46" s="88">
        <f t="shared" si="1"/>
        <v>37.5</v>
      </c>
      <c r="N46" s="89"/>
    </row>
    <row r="47" spans="2:14" ht="18.399999999999999" thickBot="1" x14ac:dyDescent="0.5">
      <c r="B47" s="76"/>
      <c r="C47" s="77" t="s">
        <v>51</v>
      </c>
      <c r="D47" s="77"/>
      <c r="E47" s="77"/>
      <c r="F47" s="77"/>
      <c r="G47" s="77"/>
      <c r="H47" s="78"/>
      <c r="I47" s="79"/>
      <c r="J47" s="79"/>
      <c r="K47" s="79"/>
      <c r="L47" s="79"/>
      <c r="M47" s="103">
        <f>SUM(M28:N46)</f>
        <v>196.41318909090907</v>
      </c>
      <c r="N47" s="104"/>
    </row>
    <row r="48" spans="2:14" ht="5.0999999999999996" customHeight="1" thickBot="1" x14ac:dyDescent="0.5">
      <c r="B48" s="56"/>
      <c r="C48" s="57"/>
      <c r="D48" s="57"/>
      <c r="E48" s="57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21" x14ac:dyDescent="0.45">
      <c r="B49" s="58"/>
      <c r="C49" s="59" t="s">
        <v>52</v>
      </c>
      <c r="D49" s="59"/>
      <c r="E49" s="59"/>
      <c r="F49" s="73"/>
      <c r="G49" s="105">
        <v>17.2</v>
      </c>
      <c r="H49" s="107">
        <f>D11-F15-F17</f>
        <v>36</v>
      </c>
      <c r="I49" s="61"/>
      <c r="J49" s="61"/>
      <c r="K49" s="61"/>
      <c r="L49" s="61"/>
      <c r="M49" s="109">
        <f>H49*17.2</f>
        <v>619.19999999999993</v>
      </c>
      <c r="N49" s="110"/>
    </row>
    <row r="50" spans="2:14" ht="9.9499999999999993" customHeight="1" thickBot="1" x14ac:dyDescent="0.5">
      <c r="B50" s="58"/>
      <c r="C50" s="60" t="s">
        <v>58</v>
      </c>
      <c r="D50" s="60"/>
      <c r="E50" s="60"/>
      <c r="F50" s="74"/>
      <c r="G50" s="106"/>
      <c r="H50" s="108"/>
      <c r="I50" s="62"/>
      <c r="J50" s="62"/>
      <c r="K50" s="62"/>
      <c r="L50" s="62"/>
      <c r="M50" s="111"/>
      <c r="N50" s="112"/>
    </row>
    <row r="51" spans="2:14" ht="5.0999999999999996" customHeight="1" thickBot="1" x14ac:dyDescent="0.5">
      <c r="B51" s="54"/>
      <c r="C51" s="55"/>
      <c r="D51" s="55"/>
      <c r="E51" s="55"/>
      <c r="F51" s="54"/>
      <c r="G51" s="54"/>
      <c r="H51" s="54"/>
      <c r="I51" s="54"/>
      <c r="J51" s="54"/>
      <c r="K51" s="54"/>
      <c r="L51" s="54"/>
      <c r="M51" s="54"/>
      <c r="N51" s="54"/>
    </row>
    <row r="52" spans="2:14" ht="30.75" customHeight="1" thickBot="1" x14ac:dyDescent="0.5">
      <c r="B52" s="80"/>
      <c r="C52" s="81" t="s">
        <v>54</v>
      </c>
      <c r="D52" s="81"/>
      <c r="E52" s="81"/>
      <c r="F52" s="81"/>
      <c r="G52" s="81"/>
      <c r="H52" s="82"/>
      <c r="I52" s="83"/>
      <c r="J52" s="83"/>
      <c r="K52" s="83"/>
      <c r="L52" s="83"/>
      <c r="M52" s="84">
        <f>M47+M49</f>
        <v>815.61318909090903</v>
      </c>
      <c r="N52" s="85"/>
    </row>
    <row r="53" spans="2:14" ht="9.9499999999999993" customHeight="1" thickBot="1" x14ac:dyDescent="0.5"/>
    <row r="54" spans="2:14" ht="28.5" x14ac:dyDescent="0.45">
      <c r="B54" s="99" t="s">
        <v>18</v>
      </c>
      <c r="C54" s="100"/>
      <c r="D54" s="1"/>
      <c r="E54" s="1"/>
      <c r="F54" s="64"/>
      <c r="G54" s="37" t="s">
        <v>11</v>
      </c>
      <c r="H54" s="37" t="s">
        <v>14</v>
      </c>
      <c r="I54" s="38" t="s">
        <v>13</v>
      </c>
      <c r="J54" s="38"/>
      <c r="K54" s="38"/>
      <c r="L54" s="38" t="s">
        <v>12</v>
      </c>
      <c r="M54" s="101" t="s">
        <v>57</v>
      </c>
      <c r="N54" s="102"/>
    </row>
    <row r="55" spans="2:14" x14ac:dyDescent="0.45">
      <c r="B55" s="95" t="s">
        <v>15</v>
      </c>
      <c r="C55" s="9" t="s">
        <v>63</v>
      </c>
      <c r="D55" s="9"/>
      <c r="E55" s="9"/>
      <c r="F55" s="65"/>
      <c r="G55" s="66">
        <v>50</v>
      </c>
      <c r="H55" s="39">
        <v>1</v>
      </c>
      <c r="I55" s="40">
        <f>G55/H55</f>
        <v>50</v>
      </c>
      <c r="J55" s="41"/>
      <c r="K55" s="42">
        <v>4</v>
      </c>
      <c r="L55" s="40">
        <f>K55*I55</f>
        <v>200</v>
      </c>
      <c r="M55" s="88">
        <f>L55</f>
        <v>200</v>
      </c>
      <c r="N55" s="89"/>
    </row>
    <row r="56" spans="2:14" x14ac:dyDescent="0.45">
      <c r="B56" s="96"/>
      <c r="C56" s="10" t="s">
        <v>19</v>
      </c>
      <c r="D56" s="10"/>
      <c r="E56" s="10"/>
      <c r="F56" s="67"/>
      <c r="G56" s="68">
        <v>29.9</v>
      </c>
      <c r="H56" s="43">
        <v>3</v>
      </c>
      <c r="I56" s="44">
        <f>G56/H56</f>
        <v>9.9666666666666668</v>
      </c>
      <c r="J56" s="45"/>
      <c r="K56" s="46">
        <v>1</v>
      </c>
      <c r="L56" s="44">
        <f>K56*I56</f>
        <v>9.9666666666666668</v>
      </c>
      <c r="M56" s="88">
        <f>L56</f>
        <v>9.9666666666666668</v>
      </c>
      <c r="N56" s="89"/>
    </row>
    <row r="57" spans="2:14" x14ac:dyDescent="0.45">
      <c r="B57" s="96"/>
      <c r="C57" s="10" t="s">
        <v>62</v>
      </c>
      <c r="D57" s="10"/>
      <c r="E57" s="10"/>
      <c r="F57" s="67"/>
      <c r="G57" s="68">
        <v>150</v>
      </c>
      <c r="H57" s="43">
        <v>1</v>
      </c>
      <c r="I57" s="44">
        <f>G57/H57</f>
        <v>150</v>
      </c>
      <c r="J57" s="45"/>
      <c r="K57" s="46">
        <v>1</v>
      </c>
      <c r="L57" s="44">
        <f>K57*I57</f>
        <v>150</v>
      </c>
      <c r="M57" s="88">
        <f>L57</f>
        <v>150</v>
      </c>
      <c r="N57" s="89"/>
    </row>
    <row r="58" spans="2:14" ht="14.65" thickBot="1" x14ac:dyDescent="0.5">
      <c r="B58" s="97"/>
      <c r="C58" s="11" t="s">
        <v>20</v>
      </c>
      <c r="D58" s="11"/>
      <c r="E58" s="11"/>
      <c r="F58" s="71"/>
      <c r="G58" s="72">
        <v>15</v>
      </c>
      <c r="H58" s="47">
        <v>1</v>
      </c>
      <c r="I58" s="48">
        <v>15</v>
      </c>
      <c r="J58" s="49"/>
      <c r="K58" s="50">
        <v>1</v>
      </c>
      <c r="L58" s="48">
        <f>K58*I58</f>
        <v>15</v>
      </c>
      <c r="M58" s="90">
        <f>L58</f>
        <v>15</v>
      </c>
      <c r="N58" s="91"/>
    </row>
    <row r="59" spans="2:14" ht="30.75" customHeight="1" thickBot="1" x14ac:dyDescent="0.5">
      <c r="B59" s="80"/>
      <c r="C59" s="81" t="s">
        <v>59</v>
      </c>
      <c r="D59" s="81"/>
      <c r="E59" s="81"/>
      <c r="F59" s="81"/>
      <c r="G59" s="81"/>
      <c r="H59" s="82"/>
      <c r="I59" s="83"/>
      <c r="J59" s="83"/>
      <c r="K59" s="83"/>
      <c r="L59" s="83"/>
      <c r="M59" s="84">
        <f>SUM(M55:N58)</f>
        <v>374.9666666666667</v>
      </c>
      <c r="N59" s="85"/>
    </row>
  </sheetData>
  <sheetProtection password="8A10" sheet="1" objects="1" scenarios="1" selectLockedCells="1"/>
  <mergeCells count="41">
    <mergeCell ref="B1:N1"/>
    <mergeCell ref="M27:N27"/>
    <mergeCell ref="M55:N55"/>
    <mergeCell ref="M56:N56"/>
    <mergeCell ref="M58:N58"/>
    <mergeCell ref="M28:N28"/>
    <mergeCell ref="M29:N29"/>
    <mergeCell ref="M57:N57"/>
    <mergeCell ref="B4:N4"/>
    <mergeCell ref="B3:N3"/>
    <mergeCell ref="Q15:S15"/>
    <mergeCell ref="B28:B32"/>
    <mergeCell ref="B33:B46"/>
    <mergeCell ref="B55:B58"/>
    <mergeCell ref="B27:C27"/>
    <mergeCell ref="B54:C54"/>
    <mergeCell ref="M54:N54"/>
    <mergeCell ref="M45:N45"/>
    <mergeCell ref="M46:N46"/>
    <mergeCell ref="M34:N34"/>
    <mergeCell ref="M47:N47"/>
    <mergeCell ref="M52:N52"/>
    <mergeCell ref="G49:G50"/>
    <mergeCell ref="H49:H50"/>
    <mergeCell ref="M49:N50"/>
    <mergeCell ref="M59:N59"/>
    <mergeCell ref="C21:C22"/>
    <mergeCell ref="M40:N40"/>
    <mergeCell ref="M41:N41"/>
    <mergeCell ref="M42:N42"/>
    <mergeCell ref="M43:N43"/>
    <mergeCell ref="M44:N44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81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2790825</xdr:colOff>
                    <xdr:row>20</xdr:row>
                    <xdr:rowOff>38100</xdr:rowOff>
                  </from>
                  <to>
                    <xdr:col>3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2790825</xdr:colOff>
                    <xdr:row>20</xdr:row>
                    <xdr:rowOff>219075</xdr:rowOff>
                  </from>
                  <to>
                    <xdr:col>3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Prat</dc:creator>
  <cp:lastModifiedBy>Thomas Prat</cp:lastModifiedBy>
  <cp:lastPrinted>2020-04-26T12:26:35Z</cp:lastPrinted>
  <dcterms:created xsi:type="dcterms:W3CDTF">2020-04-23T20:33:17Z</dcterms:created>
  <dcterms:modified xsi:type="dcterms:W3CDTF">2020-04-26T20:17:40Z</dcterms:modified>
</cp:coreProperties>
</file>